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Лист1" sheetId="1" r:id="rId1"/>
    <sheet name="ТРАФАРЕТ" sheetId="2" r:id="rId2"/>
  </sheets>
  <definedNames/>
  <calcPr fullCalcOnLoad="1" fullPrecision="0"/>
</workbook>
</file>

<file path=xl/sharedStrings.xml><?xml version="1.0" encoding="utf-8"?>
<sst xmlns="http://schemas.openxmlformats.org/spreadsheetml/2006/main" count="175" uniqueCount="127">
  <si>
    <t>№ строки</t>
  </si>
  <si>
    <t>Единица измерения</t>
  </si>
  <si>
    <t>Объем медицинской помощи в расчете на 1 жителя (норматив объемов предоставления медицинской помощи в расчете на 1 застрахованное лицо)</t>
  </si>
  <si>
    <t>Стоимость единицы объема медицинской помощи (норматив финансовых затрат на единицу объема предоставления медицинской помощи)</t>
  </si>
  <si>
    <t>Подушевые нормативы финансирования территориальной программы</t>
  </si>
  <si>
    <t>Стоимость территориальной программы по источникам ее финансового обеспечения</t>
  </si>
  <si>
    <t>руб.</t>
  </si>
  <si>
    <t>млн. руб.</t>
  </si>
  <si>
    <t>в %
к итогу</t>
  </si>
  <si>
    <t>за счет средств консолидиро-ванного бюджета субъекта РФ</t>
  </si>
  <si>
    <t>за счет средств ОМС</t>
  </si>
  <si>
    <t>средства ОМС</t>
  </si>
  <si>
    <t>01</t>
  </si>
  <si>
    <t>02</t>
  </si>
  <si>
    <t>вызов</t>
  </si>
  <si>
    <t>03</t>
  </si>
  <si>
    <t>04.1</t>
  </si>
  <si>
    <t xml:space="preserve">посещение с профилактической и иными целями </t>
  </si>
  <si>
    <t>04.2</t>
  </si>
  <si>
    <t>обращение</t>
  </si>
  <si>
    <t>05.1</t>
  </si>
  <si>
    <t>случай госпитализации</t>
  </si>
  <si>
    <t>05.2</t>
  </si>
  <si>
    <t>койко-день</t>
  </si>
  <si>
    <t>06</t>
  </si>
  <si>
    <t>пациенто-
день</t>
  </si>
  <si>
    <t>07</t>
  </si>
  <si>
    <t>08</t>
  </si>
  <si>
    <t>09</t>
  </si>
  <si>
    <t>посещение</t>
  </si>
  <si>
    <t>10</t>
  </si>
  <si>
    <t>11</t>
  </si>
  <si>
    <t>12</t>
  </si>
  <si>
    <t>13</t>
  </si>
  <si>
    <t>14</t>
  </si>
  <si>
    <t>II. Средства консолидированного бюджета субъекта Российской Федерации на содержание медицинских организаций, работающих в системе ОМС**:</t>
  </si>
  <si>
    <t>15</t>
  </si>
  <si>
    <t>16</t>
  </si>
  <si>
    <t>17</t>
  </si>
  <si>
    <t>18</t>
  </si>
  <si>
    <t>19</t>
  </si>
  <si>
    <t>III. Медицинская помощь в рамках территориальной программы ОМС:</t>
  </si>
  <si>
    <t>20</t>
  </si>
  <si>
    <t>21</t>
  </si>
  <si>
    <t>сумма строк</t>
  </si>
  <si>
    <t>28.1+33.1</t>
  </si>
  <si>
    <t>22.1</t>
  </si>
  <si>
    <t>посещение  с профилактической и иными целями</t>
  </si>
  <si>
    <t>28.2+33.2</t>
  </si>
  <si>
    <t>22.2</t>
  </si>
  <si>
    <t>посещение по неотложной медицинской помощи</t>
  </si>
  <si>
    <t>28.3+33.3</t>
  </si>
  <si>
    <t>22.3</t>
  </si>
  <si>
    <t>сумма строк 29.1+34.1</t>
  </si>
  <si>
    <t>23.1</t>
  </si>
  <si>
    <t>сумма строк 29.2+34.2</t>
  </si>
  <si>
    <t>23.2</t>
  </si>
  <si>
    <t>23.3</t>
  </si>
  <si>
    <t>23.4</t>
  </si>
  <si>
    <t>24</t>
  </si>
  <si>
    <t>25</t>
  </si>
  <si>
    <t>из строки 20:
1. Медицинская помощь, предоставляемая в рамках базовой программы ОМС застрахованным лицам</t>
  </si>
  <si>
    <t>26</t>
  </si>
  <si>
    <t>27</t>
  </si>
  <si>
    <t>28.1</t>
  </si>
  <si>
    <t>28.2</t>
  </si>
  <si>
    <t>28.3</t>
  </si>
  <si>
    <t>29.1</t>
  </si>
  <si>
    <t>29.2</t>
  </si>
  <si>
    <t>29.3</t>
  </si>
  <si>
    <t>29.4</t>
  </si>
  <si>
    <t>30</t>
  </si>
  <si>
    <t>2. Медицинская помощь по видам и заболеваниям сверх базовой программы ОМС:</t>
  </si>
  <si>
    <t>31</t>
  </si>
  <si>
    <t>32</t>
  </si>
  <si>
    <t>33.1</t>
  </si>
  <si>
    <t>33.2</t>
  </si>
  <si>
    <t>33.3</t>
  </si>
  <si>
    <t>34.1</t>
  </si>
  <si>
    <t>34.2</t>
  </si>
  <si>
    <t>34.3</t>
  </si>
  <si>
    <t>34.4</t>
  </si>
  <si>
    <t>35</t>
  </si>
  <si>
    <t>ИТОГО (сумма строк 01 + 15 + 20)</t>
  </si>
  <si>
    <t>36</t>
  </si>
  <si>
    <t>* Без учета финансовых средств консолидированного бюджета субъекта Российской Федерации на содержание медицинских организаций, работающих в системе ОМС (затраты, не вошедшие в тариф).</t>
  </si>
  <si>
    <t>*** затраты на АУП ТФОМС и СМО</t>
  </si>
  <si>
    <t xml:space="preserve">к Территориальной программе </t>
  </si>
  <si>
    <t xml:space="preserve">государственных гарантий бесплатного </t>
  </si>
  <si>
    <t xml:space="preserve">оказания гражданам медицинской помощи </t>
  </si>
  <si>
    <t xml:space="preserve">на территории Республики </t>
  </si>
  <si>
    <t>1. Скорая медицинская помощь</t>
  </si>
  <si>
    <t>2. При заболеваниях, не включенных в территориальную программу ОМС:</t>
  </si>
  <si>
    <t>- В амбулаторных условиях</t>
  </si>
  <si>
    <t>- В стационарных условиях</t>
  </si>
  <si>
    <t>- В дневных стационарах</t>
  </si>
  <si>
    <t>3. При заболеваниях, включенных в базовую программу ОМС, гражданам Российской Федерации, не идентифицированным и не застрахованным в системе ОМС:</t>
  </si>
  <si>
    <t>- Скорая медицинская помощь</t>
  </si>
  <si>
    <t>4. Паллиативная медицинская помощь</t>
  </si>
  <si>
    <t xml:space="preserve">5. Иные государственные и муниципальные услуги (работы) </t>
  </si>
  <si>
    <t>6. Специализированная высокотехнологичная медицинская помощь, оказываемая в медицинских организациях субъекта РФ</t>
  </si>
  <si>
    <t>-  В дневных стационарах</t>
  </si>
  <si>
    <t>- Скорая медицинская помощь (сумма строк 27+32)</t>
  </si>
  <si>
    <t>- Вамбулаторных условиях</t>
  </si>
  <si>
    <t>- В стационарных условиях, в том числе:</t>
  </si>
  <si>
    <t xml:space="preserve">     Медицинская реабилитация в стационарных условиях  (сумма строк 29.3 + 34.3)</t>
  </si>
  <si>
    <t xml:space="preserve">     Высокотехнологичная медицинская помощь  (сумма строк 29.4 + 34.4)</t>
  </si>
  <si>
    <t>- В дневных стационарах (сумма строк 30 + 35)</t>
  </si>
  <si>
    <t>- Затраты на АУП в сфере ОМС***</t>
  </si>
  <si>
    <t>- В стационарных условиях,                                    в том числе:</t>
  </si>
  <si>
    <t xml:space="preserve">       Медицинская реабилитация в стационарных условиях</t>
  </si>
  <si>
    <t xml:space="preserve">     Высокотехнологичная медицинская помощь</t>
  </si>
  <si>
    <t>- В стационарных условиях,                                            В том числе:</t>
  </si>
  <si>
    <t xml:space="preserve">     Медицинская реабилитация в стационарных условиях</t>
  </si>
  <si>
    <t xml:space="preserve">Утвержденная стоимость Программы и объемы медицинской помощи по условиям ее оказания на 2015  год </t>
  </si>
  <si>
    <t>Численость населения: 2015 г.-706500 человек,  2016-г.-707600 человек, 2017-708800 человек. Численность застрахованного населения на 01.04.2014 г.-683321 человек.</t>
  </si>
  <si>
    <t>К</t>
  </si>
  <si>
    <t>В дневных стационарах</t>
  </si>
  <si>
    <t>норматив</t>
  </si>
  <si>
    <t>всего пос.</t>
  </si>
  <si>
    <t>тыс. руб.</t>
  </si>
  <si>
    <t>стоимость 1 пос.</t>
  </si>
  <si>
    <t>I. Медицинская помощь, предоставляемая за счет консолидированного бюджета субъекта Российской Федерации
в том числе *:</t>
  </si>
  <si>
    <r>
      <t xml:space="preserve">**  указываются средства консолидированного бюджета субъекта Российской Федерации на содержание медицинских организаций, работающих в системе ОМС, на расходы сверх </t>
    </r>
    <r>
      <rPr>
        <b/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>территориальной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программы ОМС</t>
    </r>
  </si>
  <si>
    <t xml:space="preserve">Северная Осетия-Алания на 2015 год и  </t>
  </si>
  <si>
    <t>на плановый период 2016 и 2017 годов</t>
  </si>
  <si>
    <t xml:space="preserve">                                                                                                                                                                                                       387                                                                                                                                  ПРИЛОЖЕНИЕ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</si>
</sst>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#,##0.00000&quot;р.&quot;"/>
    <numFmt numFmtId="171" formatCode="#,##0.00000"/>
    <numFmt numFmtId="172" formatCode="0.00000"/>
    <numFmt numFmtId="173" formatCode="0.0"/>
    <numFmt numFmtId="174" formatCode="#,##0.0"/>
    <numFmt numFmtId="175" formatCode="0.0000"/>
    <numFmt numFmtId="176" formatCode="_-* #,##0.00000_р_._-;\-* #,##0.00000_р_._-;_-* &quot;-&quot;?????_р_._-;_-@_-"/>
    <numFmt numFmtId="177" formatCode="#,##0.00&quot;р.&quot;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173" fontId="0" fillId="0" borderId="0" xfId="0" applyNumberFormat="1" applyAlignment="1">
      <alignment/>
    </xf>
    <xf numFmtId="0" fontId="2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53" applyFont="1" applyFill="1" applyAlignment="1">
      <alignment horizontal="left" wrapText="1"/>
      <protection/>
    </xf>
    <xf numFmtId="2" fontId="0" fillId="0" borderId="0" xfId="0" applyNumberFormat="1" applyAlignment="1">
      <alignment/>
    </xf>
    <xf numFmtId="0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horizontal="center" vertical="top"/>
      <protection/>
    </xf>
    <xf numFmtId="4" fontId="21" fillId="24" borderId="0" xfId="53" applyNumberFormat="1" applyFont="1" applyFill="1" applyBorder="1" applyAlignment="1" applyProtection="1">
      <alignment horizontal="right"/>
      <protection/>
    </xf>
    <xf numFmtId="4" fontId="22" fillId="20" borderId="0" xfId="53" applyNumberFormat="1" applyFont="1" applyFill="1" applyBorder="1" applyAlignment="1">
      <alignment horizontal="right"/>
      <protection/>
    </xf>
    <xf numFmtId="4" fontId="21" fillId="21" borderId="0" xfId="53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2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0" xfId="0" applyAlignment="1">
      <alignment wrapText="1"/>
    </xf>
    <xf numFmtId="49" fontId="4" fillId="0" borderId="10" xfId="53" applyNumberFormat="1" applyFont="1" applyFill="1" applyBorder="1" applyAlignment="1">
      <alignment horizontal="center" vertical="center"/>
      <protection/>
    </xf>
    <xf numFmtId="173" fontId="4" fillId="20" borderId="10" xfId="53" applyNumberFormat="1" applyFont="1" applyFill="1" applyBorder="1" applyAlignment="1">
      <alignment horizontal="right"/>
      <protection/>
    </xf>
    <xf numFmtId="173" fontId="4" fillId="0" borderId="10" xfId="53" applyNumberFormat="1" applyFont="1" applyFill="1" applyBorder="1" applyAlignment="1" applyProtection="1">
      <alignment horizontal="right"/>
      <protection locked="0"/>
    </xf>
    <xf numFmtId="2" fontId="4" fillId="20" borderId="10" xfId="53" applyNumberFormat="1" applyFont="1" applyFill="1" applyBorder="1" applyAlignment="1" applyProtection="1">
      <alignment horizontal="right"/>
      <protection locked="0"/>
    </xf>
    <xf numFmtId="4" fontId="4" fillId="24" borderId="10" xfId="53" applyNumberFormat="1" applyFont="1" applyFill="1" applyBorder="1" applyAlignment="1" applyProtection="1">
      <alignment horizontal="right"/>
      <protection/>
    </xf>
    <xf numFmtId="169" fontId="4" fillId="0" borderId="10" xfId="53" applyNumberFormat="1" applyFont="1" applyFill="1" applyBorder="1" applyAlignment="1" applyProtection="1">
      <alignment horizontal="right"/>
      <protection locked="0"/>
    </xf>
    <xf numFmtId="2" fontId="4" fillId="0" borderId="10" xfId="53" applyNumberFormat="1" applyFont="1" applyFill="1" applyBorder="1" applyAlignment="1" applyProtection="1">
      <alignment horizontal="right"/>
      <protection locked="0"/>
    </xf>
    <xf numFmtId="2" fontId="4" fillId="20" borderId="10" xfId="53" applyNumberFormat="1" applyFont="1" applyFill="1" applyBorder="1" applyAlignment="1">
      <alignment horizontal="right"/>
      <protection/>
    </xf>
    <xf numFmtId="169" fontId="4" fillId="20" borderId="10" xfId="53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73" fontId="4" fillId="24" borderId="10" xfId="53" applyNumberFormat="1" applyFont="1" applyFill="1" applyBorder="1" applyAlignment="1" applyProtection="1">
      <alignment horizontal="right"/>
      <protection/>
    </xf>
    <xf numFmtId="4" fontId="4" fillId="21" borderId="10" xfId="53" applyNumberFormat="1" applyFont="1" applyFill="1" applyBorder="1" applyAlignment="1">
      <alignment horizontal="right"/>
      <protection/>
    </xf>
    <xf numFmtId="173" fontId="4" fillId="24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>
      <alignment horizontal="left"/>
      <protection/>
    </xf>
    <xf numFmtId="0" fontId="4" fillId="0" borderId="11" xfId="53" applyNumberFormat="1" applyFont="1" applyFill="1" applyBorder="1" applyAlignment="1">
      <alignment vertical="center" wrapText="1"/>
      <protection/>
    </xf>
    <xf numFmtId="0" fontId="4" fillId="0" borderId="10" xfId="53" applyNumberFormat="1" applyFont="1" applyFill="1" applyBorder="1" applyAlignment="1">
      <alignment vertical="center" wrapText="1"/>
      <protection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11" xfId="53" applyNumberFormat="1" applyFont="1" applyFill="1" applyBorder="1" applyAlignment="1">
      <alignment horizontal="center" vertical="top"/>
      <protection/>
    </xf>
    <xf numFmtId="4" fontId="4" fillId="20" borderId="10" xfId="53" applyNumberFormat="1" applyFont="1" applyFill="1" applyBorder="1" applyAlignment="1">
      <alignment horizontal="right"/>
      <protection/>
    </xf>
    <xf numFmtId="169" fontId="4" fillId="24" borderId="10" xfId="53" applyNumberFormat="1" applyFont="1" applyFill="1" applyBorder="1" applyAlignment="1" applyProtection="1">
      <alignment horizontal="right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173" fontId="4" fillId="20" borderId="10" xfId="53" applyNumberFormat="1" applyFont="1" applyFill="1" applyBorder="1" applyAlignment="1" applyProtection="1">
      <alignment horizontal="right"/>
      <protection/>
    </xf>
    <xf numFmtId="174" fontId="4" fillId="0" borderId="10" xfId="53" applyNumberFormat="1" applyFont="1" applyFill="1" applyBorder="1" applyAlignment="1" applyProtection="1">
      <alignment horizontal="right"/>
      <protection locked="0"/>
    </xf>
    <xf numFmtId="49" fontId="4" fillId="0" borderId="11" xfId="53" applyNumberFormat="1" applyFont="1" applyFill="1" applyBorder="1" applyAlignment="1">
      <alignment horizontal="center" vertical="center"/>
      <protection/>
    </xf>
    <xf numFmtId="173" fontId="30" fillId="20" borderId="10" xfId="53" applyNumberFormat="1" applyFont="1" applyFill="1" applyBorder="1" applyAlignment="1">
      <alignment horizontal="right"/>
      <protection/>
    </xf>
    <xf numFmtId="4" fontId="30" fillId="20" borderId="10" xfId="53" applyNumberFormat="1" applyFont="1" applyFill="1" applyBorder="1" applyAlignment="1">
      <alignment horizontal="right"/>
      <protection/>
    </xf>
    <xf numFmtId="4" fontId="31" fillId="20" borderId="0" xfId="53" applyNumberFormat="1" applyFont="1" applyFill="1" applyBorder="1" applyAlignment="1">
      <alignment horizontal="right"/>
      <protection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9" fontId="4" fillId="0" borderId="0" xfId="53" applyNumberFormat="1" applyFont="1" applyFill="1" applyAlignment="1">
      <alignment horizontal="left"/>
      <protection/>
    </xf>
    <xf numFmtId="169" fontId="4" fillId="0" borderId="10" xfId="53" applyNumberFormat="1" applyFont="1" applyFill="1" applyBorder="1" applyAlignment="1">
      <alignment vertical="center" wrapText="1"/>
      <protection/>
    </xf>
    <xf numFmtId="169" fontId="4" fillId="0" borderId="10" xfId="53" applyNumberFormat="1" applyFont="1" applyFill="1" applyBorder="1" applyAlignment="1">
      <alignment horizontal="center" vertical="top"/>
      <protection/>
    </xf>
    <xf numFmtId="169" fontId="28" fillId="20" borderId="10" xfId="53" applyNumberFormat="1" applyFont="1" applyFill="1" applyBorder="1" applyAlignment="1">
      <alignment horizontal="right"/>
      <protection/>
    </xf>
    <xf numFmtId="169" fontId="4" fillId="20" borderId="10" xfId="53" applyNumberFormat="1" applyFont="1" applyFill="1" applyBorder="1" applyAlignment="1" applyProtection="1">
      <alignment horizontal="right"/>
      <protection/>
    </xf>
    <xf numFmtId="169" fontId="4" fillId="25" borderId="10" xfId="53" applyNumberFormat="1" applyFont="1" applyFill="1" applyBorder="1" applyAlignment="1" applyProtection="1">
      <alignment horizontal="right"/>
      <protection/>
    </xf>
    <xf numFmtId="169" fontId="0" fillId="0" borderId="0" xfId="0" applyNumberFormat="1" applyAlignment="1">
      <alignment/>
    </xf>
    <xf numFmtId="0" fontId="4" fillId="0" borderId="0" xfId="53" applyFont="1" applyFill="1" applyAlignment="1">
      <alignment horizontal="right"/>
      <protection/>
    </xf>
    <xf numFmtId="49" fontId="4" fillId="0" borderId="12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49" fontId="4" fillId="0" borderId="13" xfId="53" applyNumberFormat="1" applyFont="1" applyFill="1" applyBorder="1" applyAlignment="1">
      <alignment horizontal="left" vertical="center" wrapText="1"/>
      <protection/>
    </xf>
    <xf numFmtId="49" fontId="4" fillId="0" borderId="14" xfId="53" applyNumberFormat="1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horizontal="left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49" fontId="28" fillId="0" borderId="11" xfId="53" applyNumberFormat="1" applyFont="1" applyFill="1" applyBorder="1" applyAlignment="1">
      <alignment horizontal="left" vertical="center" wrapText="1"/>
      <protection/>
    </xf>
    <xf numFmtId="49" fontId="28" fillId="0" borderId="13" xfId="53" applyNumberFormat="1" applyFont="1" applyFill="1" applyBorder="1" applyAlignment="1">
      <alignment horizontal="left" vertical="center" wrapText="1"/>
      <protection/>
    </xf>
    <xf numFmtId="49" fontId="28" fillId="0" borderId="14" xfId="53" applyNumberFormat="1" applyFont="1" applyFill="1" applyBorder="1" applyAlignment="1">
      <alignment horizontal="left" vertical="center" wrapText="1"/>
      <protection/>
    </xf>
    <xf numFmtId="49" fontId="4" fillId="0" borderId="15" xfId="53" applyNumberFormat="1" applyFont="1" applyFill="1" applyBorder="1" applyAlignment="1">
      <alignment horizontal="left" vertical="center" wrapText="1"/>
      <protection/>
    </xf>
    <xf numFmtId="49" fontId="4" fillId="0" borderId="16" xfId="53" applyNumberFormat="1" applyFont="1" applyFill="1" applyBorder="1" applyAlignment="1">
      <alignment horizontal="left" vertical="center" wrapText="1"/>
      <protection/>
    </xf>
    <xf numFmtId="49" fontId="4" fillId="0" borderId="17" xfId="53" applyNumberFormat="1" applyFont="1" applyFill="1" applyBorder="1" applyAlignment="1">
      <alignment horizontal="left" vertical="center" wrapText="1"/>
      <protection/>
    </xf>
    <xf numFmtId="49" fontId="4" fillId="0" borderId="18" xfId="53" applyNumberFormat="1" applyFont="1" applyFill="1" applyBorder="1" applyAlignment="1">
      <alignment horizontal="left" vertical="center" wrapText="1"/>
      <protection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49" fontId="4" fillId="0" borderId="19" xfId="53" applyNumberFormat="1" applyFont="1" applyFill="1" applyBorder="1" applyAlignment="1">
      <alignment horizontal="left" vertical="center" wrapText="1"/>
      <protection/>
    </xf>
    <xf numFmtId="49" fontId="4" fillId="0" borderId="20" xfId="53" applyNumberFormat="1" applyFont="1" applyFill="1" applyBorder="1" applyAlignment="1">
      <alignment horizontal="left" vertical="center" wrapText="1"/>
      <protection/>
    </xf>
    <xf numFmtId="49" fontId="4" fillId="0" borderId="21" xfId="53" applyNumberFormat="1" applyFont="1" applyFill="1" applyBorder="1" applyAlignment="1">
      <alignment horizontal="left" vertical="center" wrapText="1"/>
      <protection/>
    </xf>
    <xf numFmtId="49" fontId="4" fillId="0" borderId="22" xfId="53" applyNumberFormat="1" applyFont="1" applyFill="1" applyBorder="1" applyAlignment="1">
      <alignment horizontal="left" vertical="center" wrapText="1"/>
      <protection/>
    </xf>
    <xf numFmtId="49" fontId="4" fillId="0" borderId="23" xfId="53" applyNumberFormat="1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center"/>
      <protection/>
    </xf>
    <xf numFmtId="0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18" xfId="53" applyNumberFormat="1" applyFont="1" applyFill="1" applyBorder="1" applyAlignment="1">
      <alignment horizontal="center" vertical="center" wrapText="1"/>
      <protection/>
    </xf>
    <xf numFmtId="0" fontId="4" fillId="0" borderId="20" xfId="53" applyNumberFormat="1" applyFont="1" applyFill="1" applyBorder="1" applyAlignment="1">
      <alignment horizontal="center" vertical="center" wrapText="1"/>
      <protection/>
    </xf>
    <xf numFmtId="0" fontId="4" fillId="0" borderId="16" xfId="53" applyNumberFormat="1" applyFont="1" applyFill="1" applyBorder="1" applyAlignment="1">
      <alignment horizontal="center" vertical="center" wrapText="1"/>
      <protection/>
    </xf>
    <xf numFmtId="0" fontId="4" fillId="0" borderId="17" xfId="53" applyNumberFormat="1" applyFont="1" applyFill="1" applyBorder="1" applyAlignment="1">
      <alignment horizontal="center" vertical="center" wrapText="1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9" xfId="53" applyNumberFormat="1" applyFont="1" applyFill="1" applyBorder="1" applyAlignment="1">
      <alignment horizontal="center" vertical="center" wrapText="1"/>
      <protection/>
    </xf>
    <xf numFmtId="0" fontId="4" fillId="0" borderId="21" xfId="53" applyNumberFormat="1" applyFont="1" applyFill="1" applyBorder="1" applyAlignment="1">
      <alignment horizontal="center" vertical="center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left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5" xfId="53" applyNumberFormat="1" applyFont="1" applyFill="1" applyBorder="1" applyAlignment="1">
      <alignment horizontal="left" vertical="center" wrapText="1" indent="15"/>
      <protection/>
    </xf>
    <xf numFmtId="49" fontId="4" fillId="0" borderId="16" xfId="53" applyNumberFormat="1" applyFont="1" applyFill="1" applyBorder="1" applyAlignment="1">
      <alignment horizontal="left" vertical="center" wrapText="1" indent="15"/>
      <protection/>
    </xf>
    <xf numFmtId="49" fontId="4" fillId="0" borderId="17" xfId="53" applyNumberFormat="1" applyFont="1" applyFill="1" applyBorder="1" applyAlignment="1">
      <alignment horizontal="left" vertical="center" wrapText="1" indent="15"/>
      <protection/>
    </xf>
    <xf numFmtId="49" fontId="4" fillId="0" borderId="20" xfId="53" applyNumberFormat="1" applyFont="1" applyFill="1" applyBorder="1" applyAlignment="1">
      <alignment horizontal="left" vertical="center" wrapText="1" indent="15"/>
      <protection/>
    </xf>
    <xf numFmtId="49" fontId="4" fillId="0" borderId="21" xfId="53" applyNumberFormat="1" applyFont="1" applyFill="1" applyBorder="1" applyAlignment="1">
      <alignment horizontal="left" vertical="center" wrapText="1" indent="15"/>
      <protection/>
    </xf>
    <xf numFmtId="49" fontId="4" fillId="0" borderId="12" xfId="53" applyNumberFormat="1" applyFont="1" applyFill="1" applyBorder="1" applyAlignment="1">
      <alignment horizontal="left" vertical="center" wrapText="1" indent="15"/>
      <protection/>
    </xf>
    <xf numFmtId="0" fontId="4" fillId="0" borderId="22" xfId="53" applyNumberFormat="1" applyFont="1" applyFill="1" applyBorder="1" applyAlignment="1">
      <alignment horizontal="center" vertical="center" wrapText="1"/>
      <protection/>
    </xf>
    <xf numFmtId="0" fontId="4" fillId="0" borderId="23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left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0" fontId="3" fillId="0" borderId="0" xfId="53" applyFont="1" applyFill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horizontal="left" vertical="center" textRotation="90" wrapText="1"/>
      <protection/>
    </xf>
    <xf numFmtId="0" fontId="0" fillId="0" borderId="0" xfId="0" applyAlignment="1">
      <alignment horizontal="center"/>
    </xf>
    <xf numFmtId="0" fontId="29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="75" zoomScaleNormal="75" zoomScalePageLayoutView="0" workbookViewId="0" topLeftCell="A15">
      <selection activeCell="P15" sqref="P15"/>
    </sheetView>
  </sheetViews>
  <sheetFormatPr defaultColWidth="9.140625" defaultRowHeight="15"/>
  <cols>
    <col min="1" max="1" width="10.7109375" style="0" customWidth="1"/>
    <col min="3" max="3" width="23.00390625" style="0" customWidth="1"/>
    <col min="4" max="4" width="9.00390625" style="0" customWidth="1"/>
    <col min="5" max="5" width="17.28125" style="0" customWidth="1"/>
    <col min="6" max="6" width="21.7109375" style="0" customWidth="1"/>
    <col min="7" max="7" width="18.7109375" style="0" customWidth="1"/>
    <col min="8" max="8" width="16.57421875" style="0" customWidth="1"/>
    <col min="9" max="9" width="17.7109375" style="0" customWidth="1"/>
    <col min="10" max="10" width="16.7109375" style="57" customWidth="1"/>
    <col min="11" max="11" width="32.421875" style="0" customWidth="1"/>
    <col min="12" max="12" width="17.8515625" style="0" customWidth="1"/>
    <col min="13" max="13" width="14.8515625" style="0" customWidth="1"/>
    <col min="14" max="14" width="21.28125" style="0" customWidth="1"/>
    <col min="15" max="15" width="12.7109375" style="0" customWidth="1"/>
    <col min="16" max="16" width="11.00390625" style="0" customWidth="1"/>
    <col min="17" max="18" width="11.57421875" style="0" customWidth="1"/>
  </cols>
  <sheetData>
    <row r="1" spans="1:13" ht="15">
      <c r="A1" s="111" t="s">
        <v>126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4"/>
    </row>
    <row r="2" spans="1:13" ht="15.75">
      <c r="A2" s="112" t="s">
        <v>87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4"/>
    </row>
    <row r="3" spans="1:13" ht="15.75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4"/>
    </row>
    <row r="4" spans="1:13" ht="15.75">
      <c r="A4" s="112" t="s">
        <v>89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4"/>
    </row>
    <row r="5" spans="1:13" ht="15.75">
      <c r="A5" s="112" t="s">
        <v>90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4"/>
    </row>
    <row r="6" spans="1:13" ht="15.75">
      <c r="A6" s="112" t="s">
        <v>124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4"/>
    </row>
    <row r="7" spans="1:13" ht="15.75">
      <c r="A7" s="58"/>
      <c r="B7" s="58"/>
      <c r="C7" s="58"/>
      <c r="D7" s="58"/>
      <c r="E7" s="58"/>
      <c r="F7" s="58"/>
      <c r="G7" s="58"/>
      <c r="H7" s="58"/>
      <c r="I7" s="58"/>
      <c r="J7" s="112" t="s">
        <v>125</v>
      </c>
      <c r="K7" s="112"/>
      <c r="L7" s="112"/>
      <c r="M7" s="4"/>
    </row>
    <row r="8" spans="1:13" ht="15.75">
      <c r="A8" s="81" t="s">
        <v>114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2"/>
    </row>
    <row r="9" spans="1:13" ht="15.75">
      <c r="A9" s="2"/>
      <c r="B9" s="2"/>
      <c r="C9" s="2"/>
      <c r="D9" s="81"/>
      <c r="E9" s="81"/>
      <c r="F9" s="81"/>
      <c r="G9" s="81"/>
      <c r="H9" s="81"/>
      <c r="I9" s="81"/>
      <c r="J9" s="81"/>
      <c r="K9" s="2"/>
      <c r="L9" s="2"/>
      <c r="M9" s="2"/>
    </row>
    <row r="10" spans="1:13" ht="15.75">
      <c r="A10" s="35"/>
      <c r="B10" s="35"/>
      <c r="C10" s="35"/>
      <c r="D10" s="35"/>
      <c r="E10" s="35"/>
      <c r="F10" s="35"/>
      <c r="G10" s="35"/>
      <c r="H10" s="35"/>
      <c r="I10" s="35"/>
      <c r="J10" s="51"/>
      <c r="K10" s="35"/>
      <c r="L10" s="35"/>
      <c r="M10" s="1"/>
    </row>
    <row r="11" spans="1:13" ht="79.5" customHeight="1">
      <c r="A11" s="82"/>
      <c r="B11" s="85"/>
      <c r="C11" s="86"/>
      <c r="D11" s="82" t="s">
        <v>0</v>
      </c>
      <c r="E11" s="82" t="s">
        <v>1</v>
      </c>
      <c r="F11" s="82" t="s">
        <v>2</v>
      </c>
      <c r="G11" s="82" t="s">
        <v>3</v>
      </c>
      <c r="H11" s="93" t="s">
        <v>4</v>
      </c>
      <c r="I11" s="94"/>
      <c r="J11" s="95" t="s">
        <v>5</v>
      </c>
      <c r="K11" s="95"/>
      <c r="L11" s="95"/>
      <c r="M11" s="9"/>
    </row>
    <row r="12" spans="1:13" ht="36.75" customHeight="1">
      <c r="A12" s="83"/>
      <c r="B12" s="87"/>
      <c r="C12" s="88"/>
      <c r="D12" s="83"/>
      <c r="E12" s="83"/>
      <c r="F12" s="83"/>
      <c r="G12" s="83"/>
      <c r="H12" s="93" t="s">
        <v>6</v>
      </c>
      <c r="I12" s="94"/>
      <c r="J12" s="95" t="s">
        <v>7</v>
      </c>
      <c r="K12" s="95"/>
      <c r="L12" s="102" t="s">
        <v>8</v>
      </c>
      <c r="M12" s="9"/>
    </row>
    <row r="13" spans="1:16" ht="90.75" customHeight="1">
      <c r="A13" s="84"/>
      <c r="B13" s="89"/>
      <c r="C13" s="90"/>
      <c r="D13" s="84"/>
      <c r="E13" s="84"/>
      <c r="F13" s="84"/>
      <c r="G13" s="84"/>
      <c r="H13" s="36" t="s">
        <v>9</v>
      </c>
      <c r="I13" s="36" t="s">
        <v>10</v>
      </c>
      <c r="J13" s="52" t="s">
        <v>9</v>
      </c>
      <c r="K13" s="37" t="s">
        <v>11</v>
      </c>
      <c r="L13" s="103"/>
      <c r="M13" s="9"/>
      <c r="O13" s="3">
        <f>2194.7*706500/1000000</f>
        <v>1550.6</v>
      </c>
      <c r="P13">
        <f>0.115*706500</f>
        <v>81247.5</v>
      </c>
    </row>
    <row r="14" spans="1:13" ht="15.75">
      <c r="A14" s="91"/>
      <c r="B14" s="91"/>
      <c r="C14" s="91"/>
      <c r="D14" s="38">
        <v>1</v>
      </c>
      <c r="E14" s="39">
        <v>2</v>
      </c>
      <c r="F14" s="39">
        <v>3</v>
      </c>
      <c r="G14" s="39">
        <v>4</v>
      </c>
      <c r="H14" s="38">
        <v>5</v>
      </c>
      <c r="I14" s="38">
        <v>6</v>
      </c>
      <c r="J14" s="53">
        <v>7</v>
      </c>
      <c r="K14" s="38">
        <v>8</v>
      </c>
      <c r="L14" s="38">
        <v>9</v>
      </c>
      <c r="M14" s="10" t="s">
        <v>118</v>
      </c>
    </row>
    <row r="15" spans="1:13" ht="63" customHeight="1">
      <c r="A15" s="105" t="s">
        <v>122</v>
      </c>
      <c r="B15" s="106"/>
      <c r="C15" s="107"/>
      <c r="D15" s="21" t="s">
        <v>12</v>
      </c>
      <c r="E15" s="21"/>
      <c r="F15" s="22"/>
      <c r="G15" s="22"/>
      <c r="H15" s="23">
        <f>H16+H17+H23+H28+H29+H30</f>
        <v>1922</v>
      </c>
      <c r="I15" s="24">
        <f>I16+I17+I23+I28+I29+I30</f>
        <v>0</v>
      </c>
      <c r="J15" s="26">
        <f>J16+J17+J23+J28+J29</f>
        <v>1357.85</v>
      </c>
      <c r="K15" s="22"/>
      <c r="L15" s="25">
        <f>ROUND(J15/(J67+K67),2)</f>
        <v>0.19</v>
      </c>
      <c r="M15" s="11"/>
    </row>
    <row r="16" spans="1:15" s="50" customFormat="1" ht="23.25" customHeight="1">
      <c r="A16" s="65" t="s">
        <v>91</v>
      </c>
      <c r="B16" s="66"/>
      <c r="C16" s="67"/>
      <c r="D16" s="21" t="s">
        <v>13</v>
      </c>
      <c r="E16" s="21" t="s">
        <v>14</v>
      </c>
      <c r="F16" s="26">
        <f>2918/706500</f>
        <v>0.004</v>
      </c>
      <c r="G16" s="27">
        <f>J16*1000000/(F16*706500)</f>
        <v>5567.23</v>
      </c>
      <c r="H16" s="23">
        <f>J16*1000000/706500</f>
        <v>22.3</v>
      </c>
      <c r="I16" s="28"/>
      <c r="J16" s="26">
        <v>15.733</v>
      </c>
      <c r="K16" s="46"/>
      <c r="L16" s="47"/>
      <c r="M16" s="48"/>
      <c r="N16" s="49">
        <f>2334*1.25</f>
        <v>2918</v>
      </c>
      <c r="O16" s="50">
        <f>G16*F16*706500</f>
        <v>15732991.98</v>
      </c>
    </row>
    <row r="17" spans="1:20" ht="47.25" customHeight="1">
      <c r="A17" s="65" t="s">
        <v>92</v>
      </c>
      <c r="B17" s="66"/>
      <c r="C17" s="67"/>
      <c r="D17" s="21" t="s">
        <v>15</v>
      </c>
      <c r="E17" s="21"/>
      <c r="F17" s="29"/>
      <c r="G17" s="28"/>
      <c r="H17" s="23">
        <f>H18+H19+H20+H22</f>
        <v>768.7</v>
      </c>
      <c r="I17" s="27">
        <f>I18+I19+I20+I22</f>
        <v>0</v>
      </c>
      <c r="J17" s="26">
        <f>J18+J19+J20+J22</f>
        <v>543.041</v>
      </c>
      <c r="K17" s="22"/>
      <c r="L17" s="40"/>
      <c r="M17" s="12"/>
      <c r="S17" s="110" t="s">
        <v>119</v>
      </c>
      <c r="T17" s="110"/>
    </row>
    <row r="18" spans="1:22" ht="63">
      <c r="A18" s="71" t="s">
        <v>93</v>
      </c>
      <c r="B18" s="72"/>
      <c r="C18" s="73"/>
      <c r="D18" s="21" t="s">
        <v>16</v>
      </c>
      <c r="E18" s="30" t="s">
        <v>17</v>
      </c>
      <c r="F18" s="26">
        <v>0.6</v>
      </c>
      <c r="G18" s="27">
        <f>J18*1000000/(F18*706500)</f>
        <v>211.96</v>
      </c>
      <c r="H18" s="23">
        <f aca="true" t="shared" si="0" ref="H18:H23">J18*1000000/706500</f>
        <v>127.2</v>
      </c>
      <c r="I18" s="28"/>
      <c r="J18" s="26">
        <f>179.698/2</f>
        <v>89.849</v>
      </c>
      <c r="K18" s="22"/>
      <c r="L18" s="40"/>
      <c r="M18" s="12">
        <v>0.6</v>
      </c>
      <c r="N18" s="18">
        <v>706500</v>
      </c>
      <c r="O18" s="18">
        <f>M18*N18</f>
        <v>423900</v>
      </c>
      <c r="P18" s="18"/>
      <c r="Q18" s="18">
        <f>O18*P18</f>
        <v>0</v>
      </c>
      <c r="R18" s="19">
        <f>Q18/N18</f>
        <v>0</v>
      </c>
      <c r="S18" s="18">
        <v>296730</v>
      </c>
      <c r="T18" t="s">
        <v>119</v>
      </c>
      <c r="U18" t="s">
        <v>120</v>
      </c>
      <c r="V18" s="20" t="s">
        <v>121</v>
      </c>
    </row>
    <row r="19" spans="1:23" ht="35.25" customHeight="1">
      <c r="A19" s="77"/>
      <c r="B19" s="78"/>
      <c r="C19" s="59"/>
      <c r="D19" s="21" t="s">
        <v>18</v>
      </c>
      <c r="E19" s="30" t="s">
        <v>19</v>
      </c>
      <c r="F19" s="26">
        <v>0.2</v>
      </c>
      <c r="G19" s="27">
        <f>J19*1000000/(F19*706500)</f>
        <v>635.87</v>
      </c>
      <c r="H19" s="23">
        <f t="shared" si="0"/>
        <v>127.2</v>
      </c>
      <c r="I19" s="28"/>
      <c r="J19" s="26">
        <f>179.698/2</f>
        <v>89.849</v>
      </c>
      <c r="K19" s="22"/>
      <c r="L19" s="40"/>
      <c r="M19" s="12">
        <v>0.2</v>
      </c>
      <c r="N19" s="18">
        <v>706500</v>
      </c>
      <c r="O19" s="18">
        <f>M19*N19</f>
        <v>141300</v>
      </c>
      <c r="P19" s="18"/>
      <c r="Q19" s="18">
        <f aca="true" t="shared" si="1" ref="Q19:Q27">O19*P19</f>
        <v>0</v>
      </c>
      <c r="R19" s="19">
        <f>Q19/N19</f>
        <v>0</v>
      </c>
      <c r="S19">
        <f>Q19*3</f>
        <v>0</v>
      </c>
      <c r="T19">
        <f>S18+S19</f>
        <v>296730</v>
      </c>
      <c r="U19">
        <v>179698</v>
      </c>
      <c r="V19">
        <f>U19*1000/T19</f>
        <v>605.594311326795</v>
      </c>
      <c r="W19">
        <f>V19*3</f>
        <v>1816.78293398039</v>
      </c>
    </row>
    <row r="20" spans="1:17" ht="47.25">
      <c r="A20" s="71" t="s">
        <v>94</v>
      </c>
      <c r="B20" s="72"/>
      <c r="C20" s="73"/>
      <c r="D20" s="21" t="s">
        <v>20</v>
      </c>
      <c r="E20" s="31" t="s">
        <v>21</v>
      </c>
      <c r="F20" s="26">
        <f>5859/706500</f>
        <v>0.008</v>
      </c>
      <c r="G20" s="27">
        <f>J20*1000000/(F20*706500)</f>
        <v>62968.86</v>
      </c>
      <c r="H20" s="23">
        <f t="shared" si="0"/>
        <v>503.8</v>
      </c>
      <c r="I20" s="28"/>
      <c r="J20" s="26">
        <f>J21</f>
        <v>355.9</v>
      </c>
      <c r="K20" s="22"/>
      <c r="L20" s="40"/>
      <c r="M20" s="12"/>
      <c r="N20">
        <v>706500</v>
      </c>
      <c r="O20">
        <f aca="true" t="shared" si="2" ref="O20:O27">F20*N20</f>
        <v>5652</v>
      </c>
      <c r="P20">
        <v>0.7</v>
      </c>
      <c r="Q20">
        <f t="shared" si="1"/>
        <v>3956.4</v>
      </c>
    </row>
    <row r="21" spans="1:17" ht="20.25">
      <c r="A21" s="77"/>
      <c r="B21" s="78"/>
      <c r="C21" s="59"/>
      <c r="D21" s="21" t="s">
        <v>22</v>
      </c>
      <c r="E21" s="30" t="s">
        <v>23</v>
      </c>
      <c r="F21" s="26">
        <f>325753/706500</f>
        <v>0.461</v>
      </c>
      <c r="G21" s="27">
        <f>J21*1000000/(F21*706500)</f>
        <v>1092.74</v>
      </c>
      <c r="H21" s="23">
        <f t="shared" si="0"/>
        <v>503.8</v>
      </c>
      <c r="I21" s="28"/>
      <c r="J21" s="26">
        <v>355.9</v>
      </c>
      <c r="K21" s="22"/>
      <c r="L21" s="40"/>
      <c r="M21" s="12"/>
      <c r="N21">
        <v>706500</v>
      </c>
      <c r="O21">
        <f t="shared" si="2"/>
        <v>325696.5</v>
      </c>
      <c r="P21">
        <v>0.7</v>
      </c>
      <c r="Q21">
        <f t="shared" si="1"/>
        <v>227987.55</v>
      </c>
    </row>
    <row r="22" spans="1:17" ht="31.5">
      <c r="A22" s="61" t="s">
        <v>95</v>
      </c>
      <c r="B22" s="62"/>
      <c r="C22" s="63"/>
      <c r="D22" s="21" t="s">
        <v>24</v>
      </c>
      <c r="E22" s="31" t="s">
        <v>25</v>
      </c>
      <c r="F22" s="26">
        <f>32600/706500</f>
        <v>0.046</v>
      </c>
      <c r="G22" s="27">
        <f>J22*1000000/(F22*706500)</f>
        <v>229.02</v>
      </c>
      <c r="H22" s="23">
        <f t="shared" si="0"/>
        <v>10.5</v>
      </c>
      <c r="I22" s="28"/>
      <c r="J22" s="26">
        <v>7.443</v>
      </c>
      <c r="K22" s="22"/>
      <c r="L22" s="40"/>
      <c r="M22" s="12"/>
      <c r="N22">
        <v>706500</v>
      </c>
      <c r="O22">
        <f t="shared" si="2"/>
        <v>32499</v>
      </c>
      <c r="P22">
        <v>0.7</v>
      </c>
      <c r="Q22">
        <f t="shared" si="1"/>
        <v>22749.3</v>
      </c>
    </row>
    <row r="23" spans="1:17" ht="92.25" customHeight="1">
      <c r="A23" s="61" t="s">
        <v>96</v>
      </c>
      <c r="B23" s="62"/>
      <c r="C23" s="63"/>
      <c r="D23" s="21" t="s">
        <v>26</v>
      </c>
      <c r="E23" s="21"/>
      <c r="F23" s="29"/>
      <c r="G23" s="24"/>
      <c r="H23" s="23">
        <f t="shared" si="0"/>
        <v>3.8</v>
      </c>
      <c r="I23" s="28"/>
      <c r="J23" s="26">
        <f>J24</f>
        <v>2.668</v>
      </c>
      <c r="K23" s="22"/>
      <c r="L23" s="40"/>
      <c r="M23" s="12"/>
      <c r="N23">
        <v>706500</v>
      </c>
      <c r="O23">
        <f t="shared" si="2"/>
        <v>0</v>
      </c>
      <c r="P23">
        <v>0.7</v>
      </c>
      <c r="Q23">
        <f t="shared" si="1"/>
        <v>0</v>
      </c>
    </row>
    <row r="24" spans="1:17" ht="20.25">
      <c r="A24" s="61" t="s">
        <v>97</v>
      </c>
      <c r="B24" s="62"/>
      <c r="C24" s="63"/>
      <c r="D24" s="21" t="s">
        <v>27</v>
      </c>
      <c r="E24" s="21" t="s">
        <v>14</v>
      </c>
      <c r="F24" s="26">
        <f>7371/706500</f>
        <v>0.01</v>
      </c>
      <c r="G24" s="27">
        <f>J24*1000000/(F24*706500)</f>
        <v>377.64</v>
      </c>
      <c r="H24" s="23">
        <f aca="true" t="shared" si="3" ref="H24:H35">J24*1000000/706500</f>
        <v>3.8</v>
      </c>
      <c r="I24" s="28"/>
      <c r="J24" s="26">
        <v>2.668</v>
      </c>
      <c r="K24" s="22"/>
      <c r="L24" s="40"/>
      <c r="M24" s="12"/>
      <c r="N24">
        <v>706500</v>
      </c>
      <c r="O24">
        <f t="shared" si="2"/>
        <v>7065</v>
      </c>
      <c r="P24">
        <v>0.7</v>
      </c>
      <c r="Q24">
        <f t="shared" si="1"/>
        <v>4945.5</v>
      </c>
    </row>
    <row r="25" spans="1:17" ht="20.25">
      <c r="A25" s="61" t="s">
        <v>93</v>
      </c>
      <c r="B25" s="62"/>
      <c r="C25" s="63"/>
      <c r="D25" s="21" t="s">
        <v>28</v>
      </c>
      <c r="E25" s="21" t="s">
        <v>29</v>
      </c>
      <c r="F25" s="26">
        <v>0</v>
      </c>
      <c r="G25" s="27"/>
      <c r="H25" s="23">
        <f t="shared" si="3"/>
        <v>0</v>
      </c>
      <c r="I25" s="28"/>
      <c r="J25" s="26">
        <v>0</v>
      </c>
      <c r="K25" s="22"/>
      <c r="L25" s="40"/>
      <c r="M25" s="12"/>
      <c r="N25">
        <v>706500</v>
      </c>
      <c r="O25">
        <f t="shared" si="2"/>
        <v>0</v>
      </c>
      <c r="P25">
        <v>0.7</v>
      </c>
      <c r="Q25">
        <f t="shared" si="1"/>
        <v>0</v>
      </c>
    </row>
    <row r="26" spans="1:17" ht="43.5" customHeight="1">
      <c r="A26" s="61" t="s">
        <v>94</v>
      </c>
      <c r="B26" s="62"/>
      <c r="C26" s="63"/>
      <c r="D26" s="21" t="s">
        <v>30</v>
      </c>
      <c r="E26" s="31" t="s">
        <v>21</v>
      </c>
      <c r="F26" s="26">
        <v>0</v>
      </c>
      <c r="G26" s="27">
        <v>0</v>
      </c>
      <c r="H26" s="23">
        <f t="shared" si="3"/>
        <v>0</v>
      </c>
      <c r="I26" s="28"/>
      <c r="J26" s="26">
        <v>0</v>
      </c>
      <c r="K26" s="22"/>
      <c r="L26" s="40"/>
      <c r="M26" s="12"/>
      <c r="N26">
        <v>706500</v>
      </c>
      <c r="O26">
        <f t="shared" si="2"/>
        <v>0</v>
      </c>
      <c r="P26">
        <v>0.7</v>
      </c>
      <c r="Q26">
        <f t="shared" si="1"/>
        <v>0</v>
      </c>
    </row>
    <row r="27" spans="1:17" ht="31.5">
      <c r="A27" s="61" t="s">
        <v>117</v>
      </c>
      <c r="B27" s="62"/>
      <c r="C27" s="63"/>
      <c r="D27" s="21" t="s">
        <v>31</v>
      </c>
      <c r="E27" s="31" t="s">
        <v>25</v>
      </c>
      <c r="F27" s="26">
        <v>0</v>
      </c>
      <c r="G27" s="27">
        <v>0</v>
      </c>
      <c r="H27" s="23">
        <f t="shared" si="3"/>
        <v>0</v>
      </c>
      <c r="I27" s="28"/>
      <c r="J27" s="26">
        <v>0</v>
      </c>
      <c r="K27" s="22"/>
      <c r="L27" s="40"/>
      <c r="M27" s="12"/>
      <c r="N27">
        <v>706500</v>
      </c>
      <c r="O27">
        <f t="shared" si="2"/>
        <v>0</v>
      </c>
      <c r="P27">
        <v>0.7</v>
      </c>
      <c r="Q27">
        <f t="shared" si="1"/>
        <v>0</v>
      </c>
    </row>
    <row r="28" spans="1:13" ht="20.25">
      <c r="A28" s="61" t="s">
        <v>98</v>
      </c>
      <c r="B28" s="62"/>
      <c r="C28" s="63"/>
      <c r="D28" s="21" t="s">
        <v>32</v>
      </c>
      <c r="E28" s="31" t="s">
        <v>23</v>
      </c>
      <c r="F28" s="26">
        <f>10800/706500</f>
        <v>0.015</v>
      </c>
      <c r="G28" s="27">
        <f>J28*1000000/(F28*706500)</f>
        <v>430.29</v>
      </c>
      <c r="H28" s="23">
        <v>6.4</v>
      </c>
      <c r="I28" s="28"/>
      <c r="J28" s="26">
        <v>4.56</v>
      </c>
      <c r="K28" s="22"/>
      <c r="L28" s="40"/>
      <c r="M28" s="12"/>
    </row>
    <row r="29" spans="1:13" ht="45.75" customHeight="1">
      <c r="A29" s="61" t="s">
        <v>99</v>
      </c>
      <c r="B29" s="62"/>
      <c r="C29" s="63"/>
      <c r="D29" s="21" t="s">
        <v>33</v>
      </c>
      <c r="E29" s="21"/>
      <c r="F29" s="28"/>
      <c r="G29" s="28"/>
      <c r="H29" s="23">
        <f t="shared" si="3"/>
        <v>1120.8</v>
      </c>
      <c r="I29" s="28"/>
      <c r="J29" s="26">
        <v>791.848</v>
      </c>
      <c r="K29" s="22"/>
      <c r="L29" s="40"/>
      <c r="M29" s="12"/>
    </row>
    <row r="30" spans="1:13" ht="47.25">
      <c r="A30" s="61" t="s">
        <v>100</v>
      </c>
      <c r="B30" s="62"/>
      <c r="C30" s="63"/>
      <c r="D30" s="21" t="s">
        <v>34</v>
      </c>
      <c r="E30" s="31" t="s">
        <v>21</v>
      </c>
      <c r="F30" s="28"/>
      <c r="G30" s="28"/>
      <c r="H30" s="23">
        <f t="shared" si="3"/>
        <v>0</v>
      </c>
      <c r="I30" s="28"/>
      <c r="J30" s="26">
        <v>0</v>
      </c>
      <c r="K30" s="22"/>
      <c r="L30" s="40"/>
      <c r="M30" s="12"/>
    </row>
    <row r="31" spans="1:15" ht="60.75" customHeight="1">
      <c r="A31" s="61" t="s">
        <v>35</v>
      </c>
      <c r="B31" s="62"/>
      <c r="C31" s="63"/>
      <c r="D31" s="21" t="s">
        <v>36</v>
      </c>
      <c r="E31" s="21"/>
      <c r="F31" s="28"/>
      <c r="G31" s="28"/>
      <c r="H31" s="23">
        <f t="shared" si="3"/>
        <v>272.8</v>
      </c>
      <c r="I31" s="28"/>
      <c r="J31" s="26">
        <f>J32+J33+J34+J35</f>
        <v>192.759</v>
      </c>
      <c r="K31" s="22"/>
      <c r="L31" s="25">
        <f>ROUND(J31/(J67+K67),2)</f>
        <v>0.03</v>
      </c>
      <c r="M31" s="11"/>
      <c r="O31">
        <f>8481.5*1.016*683321</f>
        <v>5888316454.484</v>
      </c>
    </row>
    <row r="32" spans="1:15" ht="20.25">
      <c r="A32" s="61" t="s">
        <v>97</v>
      </c>
      <c r="B32" s="62"/>
      <c r="C32" s="63"/>
      <c r="D32" s="21" t="s">
        <v>37</v>
      </c>
      <c r="E32" s="21" t="s">
        <v>14</v>
      </c>
      <c r="F32" s="28"/>
      <c r="G32" s="28"/>
      <c r="H32" s="23">
        <f t="shared" si="3"/>
        <v>0</v>
      </c>
      <c r="I32" s="28"/>
      <c r="J32" s="26">
        <f>2-2</f>
        <v>0</v>
      </c>
      <c r="K32" s="22"/>
      <c r="L32" s="40"/>
      <c r="M32" s="12"/>
      <c r="O32">
        <v>112</v>
      </c>
    </row>
    <row r="33" spans="1:13" ht="20.25">
      <c r="A33" s="61" t="s">
        <v>93</v>
      </c>
      <c r="B33" s="62"/>
      <c r="C33" s="63"/>
      <c r="D33" s="21" t="s">
        <v>38</v>
      </c>
      <c r="E33" s="21" t="s">
        <v>29</v>
      </c>
      <c r="F33" s="28"/>
      <c r="G33" s="28"/>
      <c r="H33" s="23">
        <f t="shared" si="3"/>
        <v>31.4</v>
      </c>
      <c r="I33" s="28"/>
      <c r="J33" s="26">
        <v>22.2</v>
      </c>
      <c r="K33" s="22"/>
      <c r="L33" s="40"/>
      <c r="M33" s="12"/>
    </row>
    <row r="34" spans="1:13" ht="47.25">
      <c r="A34" s="61" t="s">
        <v>94</v>
      </c>
      <c r="B34" s="62"/>
      <c r="C34" s="63"/>
      <c r="D34" s="21" t="s">
        <v>39</v>
      </c>
      <c r="E34" s="31" t="s">
        <v>21</v>
      </c>
      <c r="F34" s="28"/>
      <c r="G34" s="28"/>
      <c r="H34" s="23">
        <f t="shared" si="3"/>
        <v>241.4</v>
      </c>
      <c r="I34" s="28"/>
      <c r="J34" s="26">
        <v>170.559</v>
      </c>
      <c r="K34" s="22"/>
      <c r="L34" s="40"/>
      <c r="M34" s="12"/>
    </row>
    <row r="35" spans="1:13" ht="31.5">
      <c r="A35" s="61" t="s">
        <v>101</v>
      </c>
      <c r="B35" s="62"/>
      <c r="C35" s="63"/>
      <c r="D35" s="21" t="s">
        <v>40</v>
      </c>
      <c r="E35" s="31" t="s">
        <v>25</v>
      </c>
      <c r="F35" s="28"/>
      <c r="G35" s="28"/>
      <c r="H35" s="27">
        <f t="shared" si="3"/>
        <v>0</v>
      </c>
      <c r="I35" s="28"/>
      <c r="J35" s="26">
        <v>0</v>
      </c>
      <c r="K35" s="22"/>
      <c r="L35" s="40"/>
      <c r="M35" s="12"/>
    </row>
    <row r="36" spans="1:13" ht="41.25" customHeight="1">
      <c r="A36" s="61" t="s">
        <v>41</v>
      </c>
      <c r="B36" s="62"/>
      <c r="C36" s="63"/>
      <c r="D36" s="21" t="s">
        <v>42</v>
      </c>
      <c r="E36" s="21"/>
      <c r="F36" s="22"/>
      <c r="G36" s="22"/>
      <c r="H36" s="22"/>
      <c r="I36" s="32">
        <f>K36/683321*1000000</f>
        <v>8392.8</v>
      </c>
      <c r="J36" s="54"/>
      <c r="K36" s="32">
        <v>5735</v>
      </c>
      <c r="L36" s="25">
        <v>100</v>
      </c>
      <c r="M36" s="11"/>
    </row>
    <row r="37" spans="1:14" ht="57" customHeight="1">
      <c r="A37" s="61" t="s">
        <v>102</v>
      </c>
      <c r="B37" s="62"/>
      <c r="C37" s="63"/>
      <c r="D37" s="21" t="s">
        <v>43</v>
      </c>
      <c r="E37" s="21" t="s">
        <v>14</v>
      </c>
      <c r="F37" s="41">
        <f aca="true" t="shared" si="4" ref="F37:F45">F48+F58</f>
        <v>0.318</v>
      </c>
      <c r="G37" s="23">
        <v>1737.5</v>
      </c>
      <c r="H37" s="22"/>
      <c r="I37" s="32">
        <f aca="true" t="shared" si="5" ref="I37:I45">I48+I58</f>
        <v>552.5</v>
      </c>
      <c r="J37" s="29"/>
      <c r="K37" s="32">
        <f aca="true" t="shared" si="6" ref="K37:K45">K48+K58</f>
        <v>377.5</v>
      </c>
      <c r="L37" s="40"/>
      <c r="M37" s="12"/>
      <c r="N37">
        <v>509.2</v>
      </c>
    </row>
    <row r="38" spans="1:14" ht="72" customHeight="1">
      <c r="A38" s="60" t="s">
        <v>103</v>
      </c>
      <c r="B38" s="109" t="s">
        <v>44</v>
      </c>
      <c r="C38" s="42" t="s">
        <v>45</v>
      </c>
      <c r="D38" s="21" t="s">
        <v>46</v>
      </c>
      <c r="E38" s="30" t="s">
        <v>47</v>
      </c>
      <c r="F38" s="41">
        <f t="shared" si="4"/>
        <v>2.3</v>
      </c>
      <c r="G38" s="23">
        <v>356.6</v>
      </c>
      <c r="H38" s="43"/>
      <c r="I38" s="32">
        <f t="shared" si="5"/>
        <v>820.2</v>
      </c>
      <c r="J38" s="55"/>
      <c r="K38" s="32">
        <f t="shared" si="6"/>
        <v>560.5</v>
      </c>
      <c r="L38" s="40">
        <f>K38*100/K36</f>
        <v>9.77</v>
      </c>
      <c r="M38" s="12"/>
      <c r="N38">
        <v>734.4</v>
      </c>
    </row>
    <row r="39" spans="1:14" ht="67.5" customHeight="1">
      <c r="A39" s="60"/>
      <c r="B39" s="109"/>
      <c r="C39" s="42" t="s">
        <v>48</v>
      </c>
      <c r="D39" s="21" t="s">
        <v>49</v>
      </c>
      <c r="E39" s="30" t="s">
        <v>50</v>
      </c>
      <c r="F39" s="41">
        <f t="shared" si="4"/>
        <v>0.5</v>
      </c>
      <c r="G39" s="23">
        <v>456.5</v>
      </c>
      <c r="H39" s="43"/>
      <c r="I39" s="32">
        <f t="shared" si="5"/>
        <v>228.3</v>
      </c>
      <c r="J39" s="55"/>
      <c r="K39" s="32">
        <f t="shared" si="6"/>
        <v>156</v>
      </c>
      <c r="L39" s="40"/>
      <c r="M39" s="12"/>
      <c r="N39">
        <v>168.6</v>
      </c>
    </row>
    <row r="40" spans="1:14" ht="20.25">
      <c r="A40" s="60"/>
      <c r="B40" s="109"/>
      <c r="C40" s="42" t="s">
        <v>51</v>
      </c>
      <c r="D40" s="21" t="s">
        <v>52</v>
      </c>
      <c r="E40" s="30" t="s">
        <v>19</v>
      </c>
      <c r="F40" s="41">
        <f t="shared" si="4"/>
        <v>1.95</v>
      </c>
      <c r="G40" s="23">
        <v>999.1</v>
      </c>
      <c r="H40" s="22"/>
      <c r="I40" s="32">
        <f t="shared" si="5"/>
        <v>1948.2</v>
      </c>
      <c r="J40" s="29"/>
      <c r="K40" s="32">
        <f t="shared" si="6"/>
        <v>1331.2</v>
      </c>
      <c r="L40" s="40"/>
      <c r="M40" s="12"/>
      <c r="N40">
        <v>1819.9</v>
      </c>
    </row>
    <row r="41" spans="1:16" ht="63" customHeight="1">
      <c r="A41" s="79" t="s">
        <v>104</v>
      </c>
      <c r="B41" s="61" t="s">
        <v>53</v>
      </c>
      <c r="C41" s="63"/>
      <c r="D41" s="21" t="s">
        <v>54</v>
      </c>
      <c r="E41" s="31" t="s">
        <v>21</v>
      </c>
      <c r="F41" s="41">
        <f>F52+F62</f>
        <v>0.172</v>
      </c>
      <c r="G41" s="23">
        <v>22588.8</v>
      </c>
      <c r="H41" s="22"/>
      <c r="I41" s="32">
        <f t="shared" si="5"/>
        <v>3948.6</v>
      </c>
      <c r="J41" s="29"/>
      <c r="K41" s="32">
        <f>K36-K37-K38-K39-K40-K45-K46</f>
        <v>2698.3</v>
      </c>
      <c r="L41" s="40"/>
      <c r="M41" s="12"/>
      <c r="N41">
        <v>3541.8</v>
      </c>
      <c r="P41">
        <v>509.2</v>
      </c>
    </row>
    <row r="42" spans="1:16" ht="45.75" customHeight="1">
      <c r="A42" s="80"/>
      <c r="B42" s="61" t="s">
        <v>55</v>
      </c>
      <c r="C42" s="63"/>
      <c r="D42" s="21" t="s">
        <v>56</v>
      </c>
      <c r="E42" s="30" t="s">
        <v>23</v>
      </c>
      <c r="F42" s="41">
        <f t="shared" si="4"/>
        <v>1.634</v>
      </c>
      <c r="G42" s="23">
        <v>2377.7</v>
      </c>
      <c r="H42" s="22"/>
      <c r="I42" s="32">
        <f t="shared" si="5"/>
        <v>3948.6</v>
      </c>
      <c r="J42" s="29"/>
      <c r="K42" s="32">
        <f t="shared" si="6"/>
        <v>2698.3</v>
      </c>
      <c r="L42" s="40"/>
      <c r="M42" s="12"/>
      <c r="N42">
        <v>686.3</v>
      </c>
      <c r="P42">
        <v>734.5</v>
      </c>
    </row>
    <row r="43" spans="1:16" ht="48.75" customHeight="1">
      <c r="A43" s="61" t="s">
        <v>105</v>
      </c>
      <c r="B43" s="62"/>
      <c r="C43" s="63"/>
      <c r="D43" s="21" t="s">
        <v>57</v>
      </c>
      <c r="E43" s="31" t="s">
        <v>23</v>
      </c>
      <c r="F43" s="41">
        <f t="shared" si="4"/>
        <v>0.033</v>
      </c>
      <c r="G43" s="23">
        <v>1563.9</v>
      </c>
      <c r="H43" s="22"/>
      <c r="I43" s="32">
        <f t="shared" si="5"/>
        <v>51.6</v>
      </c>
      <c r="J43" s="29"/>
      <c r="K43" s="32">
        <f t="shared" si="6"/>
        <v>35.3</v>
      </c>
      <c r="L43" s="40"/>
      <c r="M43" s="12"/>
      <c r="N43">
        <v>135.5</v>
      </c>
      <c r="P43">
        <v>168.6</v>
      </c>
    </row>
    <row r="44" spans="1:16" ht="47.25">
      <c r="A44" s="65" t="s">
        <v>106</v>
      </c>
      <c r="B44" s="66"/>
      <c r="C44" s="67"/>
      <c r="D44" s="21" t="s">
        <v>58</v>
      </c>
      <c r="E44" s="31" t="s">
        <v>21</v>
      </c>
      <c r="F44" s="41">
        <f t="shared" si="4"/>
        <v>0.002</v>
      </c>
      <c r="G44" s="23">
        <v>113563</v>
      </c>
      <c r="H44" s="22"/>
      <c r="I44" s="32">
        <f t="shared" si="5"/>
        <v>227.1</v>
      </c>
      <c r="J44" s="29"/>
      <c r="K44" s="32">
        <f t="shared" si="6"/>
        <v>155.2</v>
      </c>
      <c r="L44" s="40"/>
      <c r="M44" s="12"/>
      <c r="P44">
        <v>1820</v>
      </c>
    </row>
    <row r="45" spans="1:16" ht="31.5">
      <c r="A45" s="61" t="s">
        <v>107</v>
      </c>
      <c r="B45" s="62"/>
      <c r="C45" s="63"/>
      <c r="D45" s="21" t="s">
        <v>59</v>
      </c>
      <c r="E45" s="31" t="s">
        <v>25</v>
      </c>
      <c r="F45" s="41">
        <f t="shared" si="4"/>
        <v>0.56</v>
      </c>
      <c r="G45" s="23">
        <v>1327.8</v>
      </c>
      <c r="H45" s="22"/>
      <c r="I45" s="32">
        <f t="shared" si="5"/>
        <v>743.6</v>
      </c>
      <c r="J45" s="29"/>
      <c r="K45" s="32">
        <f t="shared" si="6"/>
        <v>508.1</v>
      </c>
      <c r="L45" s="40"/>
      <c r="M45" s="12"/>
      <c r="P45">
        <v>3541.8</v>
      </c>
    </row>
    <row r="46" spans="1:13" ht="20.25">
      <c r="A46" s="61" t="s">
        <v>108</v>
      </c>
      <c r="B46" s="62"/>
      <c r="C46" s="63"/>
      <c r="D46" s="21" t="s">
        <v>60</v>
      </c>
      <c r="E46" s="21"/>
      <c r="F46" s="22"/>
      <c r="G46" s="22"/>
      <c r="H46" s="22"/>
      <c r="I46" s="23">
        <v>151.3</v>
      </c>
      <c r="J46" s="29"/>
      <c r="K46" s="23">
        <v>103.4</v>
      </c>
      <c r="L46" s="40"/>
      <c r="M46" s="12"/>
    </row>
    <row r="47" spans="1:16" ht="83.25" customHeight="1">
      <c r="A47" s="68" t="s">
        <v>61</v>
      </c>
      <c r="B47" s="69"/>
      <c r="C47" s="70"/>
      <c r="D47" s="21" t="s">
        <v>62</v>
      </c>
      <c r="E47" s="21"/>
      <c r="F47" s="22"/>
      <c r="G47" s="22"/>
      <c r="H47" s="22"/>
      <c r="I47" s="23"/>
      <c r="J47" s="29"/>
      <c r="K47" s="23">
        <f>K48+K49+K50+K51+K52+K56</f>
        <v>5631.6</v>
      </c>
      <c r="L47" s="25">
        <f>ROUND(K47/K36,2)</f>
        <v>0.98</v>
      </c>
      <c r="M47" s="11"/>
      <c r="P47">
        <v>686.3</v>
      </c>
    </row>
    <row r="48" spans="1:15" ht="21.75" customHeight="1">
      <c r="A48" s="61" t="s">
        <v>97</v>
      </c>
      <c r="B48" s="62"/>
      <c r="C48" s="63"/>
      <c r="D48" s="21" t="s">
        <v>63</v>
      </c>
      <c r="E48" s="21" t="s">
        <v>14</v>
      </c>
      <c r="F48" s="26">
        <v>0.318</v>
      </c>
      <c r="G48" s="23">
        <v>1737.5</v>
      </c>
      <c r="H48" s="22"/>
      <c r="I48" s="23">
        <f>F48*G48</f>
        <v>552.5</v>
      </c>
      <c r="J48" s="29"/>
      <c r="K48" s="23">
        <f>I48*683321/1000000</f>
        <v>377.5</v>
      </c>
      <c r="L48" s="40"/>
      <c r="M48" s="12"/>
      <c r="N48" s="16">
        <v>683321</v>
      </c>
      <c r="O48" s="17">
        <f aca="true" t="shared" si="7" ref="O48:O56">F48*N48</f>
        <v>217296</v>
      </c>
    </row>
    <row r="49" spans="1:15" ht="63">
      <c r="A49" s="71" t="s">
        <v>93</v>
      </c>
      <c r="B49" s="72"/>
      <c r="C49" s="73"/>
      <c r="D49" s="21" t="s">
        <v>64</v>
      </c>
      <c r="E49" s="30" t="s">
        <v>47</v>
      </c>
      <c r="F49" s="26">
        <v>2.3</v>
      </c>
      <c r="G49" s="23">
        <v>356.6</v>
      </c>
      <c r="H49" s="22"/>
      <c r="I49" s="23">
        <f aca="true" t="shared" si="8" ref="I49:I54">F49*G49</f>
        <v>820.2</v>
      </c>
      <c r="J49" s="29"/>
      <c r="K49" s="23">
        <f aca="true" t="shared" si="9" ref="K49:K56">I49*683321/1000000</f>
        <v>560.5</v>
      </c>
      <c r="L49" s="40"/>
      <c r="M49" s="12"/>
      <c r="N49" s="16">
        <v>683321</v>
      </c>
      <c r="O49" s="17">
        <f t="shared" si="7"/>
        <v>1571638</v>
      </c>
    </row>
    <row r="50" spans="1:16" ht="63">
      <c r="A50" s="74"/>
      <c r="B50" s="75"/>
      <c r="C50" s="76"/>
      <c r="D50" s="21" t="s">
        <v>65</v>
      </c>
      <c r="E50" s="30" t="s">
        <v>50</v>
      </c>
      <c r="F50" s="26">
        <v>0.5</v>
      </c>
      <c r="G50" s="23">
        <v>456.5</v>
      </c>
      <c r="H50" s="22"/>
      <c r="I50" s="44">
        <f t="shared" si="8"/>
        <v>228.3</v>
      </c>
      <c r="J50" s="29"/>
      <c r="K50" s="23">
        <f t="shared" si="9"/>
        <v>156</v>
      </c>
      <c r="L50" s="40"/>
      <c r="M50" s="12"/>
      <c r="N50" s="16">
        <v>683321</v>
      </c>
      <c r="O50" s="17">
        <f t="shared" si="7"/>
        <v>341661</v>
      </c>
      <c r="P50" s="8"/>
    </row>
    <row r="51" spans="1:15" ht="20.25">
      <c r="A51" s="77"/>
      <c r="B51" s="78"/>
      <c r="C51" s="59"/>
      <c r="D51" s="21" t="s">
        <v>66</v>
      </c>
      <c r="E51" s="30" t="s">
        <v>19</v>
      </c>
      <c r="F51" s="26">
        <v>1.95</v>
      </c>
      <c r="G51" s="23">
        <v>999.1</v>
      </c>
      <c r="H51" s="22"/>
      <c r="I51" s="23">
        <f t="shared" si="8"/>
        <v>1948.2</v>
      </c>
      <c r="J51" s="29"/>
      <c r="K51" s="23">
        <f t="shared" si="9"/>
        <v>1331.2</v>
      </c>
      <c r="L51" s="40"/>
      <c r="M51" s="12"/>
      <c r="N51" s="16">
        <v>683321</v>
      </c>
      <c r="O51" s="17">
        <f t="shared" si="7"/>
        <v>1332476</v>
      </c>
    </row>
    <row r="52" spans="1:17" ht="47.25">
      <c r="A52" s="96" t="s">
        <v>109</v>
      </c>
      <c r="B52" s="97"/>
      <c r="C52" s="98"/>
      <c r="D52" s="21" t="s">
        <v>67</v>
      </c>
      <c r="E52" s="31" t="s">
        <v>21</v>
      </c>
      <c r="F52" s="26">
        <v>0.172</v>
      </c>
      <c r="G52" s="23">
        <v>22588.8</v>
      </c>
      <c r="H52" s="22"/>
      <c r="I52" s="23">
        <v>3948.6</v>
      </c>
      <c r="J52" s="29"/>
      <c r="K52" s="23">
        <v>2698.3</v>
      </c>
      <c r="L52" s="40"/>
      <c r="M52" s="12"/>
      <c r="N52" s="16">
        <v>683321</v>
      </c>
      <c r="O52" s="17">
        <f t="shared" si="7"/>
        <v>117531</v>
      </c>
      <c r="Q52" s="14"/>
    </row>
    <row r="53" spans="1:15" ht="20.25">
      <c r="A53" s="99"/>
      <c r="B53" s="100"/>
      <c r="C53" s="101"/>
      <c r="D53" s="21" t="s">
        <v>68</v>
      </c>
      <c r="E53" s="30" t="s">
        <v>23</v>
      </c>
      <c r="F53" s="26">
        <f>F52*9.5</f>
        <v>1.634</v>
      </c>
      <c r="G53" s="23">
        <v>2377.7</v>
      </c>
      <c r="H53" s="22"/>
      <c r="I53" s="23">
        <v>3948.6</v>
      </c>
      <c r="J53" s="29"/>
      <c r="K53" s="23">
        <v>2698.3</v>
      </c>
      <c r="L53" s="40"/>
      <c r="M53" s="12"/>
      <c r="N53" s="16">
        <v>683321</v>
      </c>
      <c r="O53" s="17">
        <f t="shared" si="7"/>
        <v>1116547</v>
      </c>
    </row>
    <row r="54" spans="1:15" ht="30" customHeight="1">
      <c r="A54" s="61" t="s">
        <v>110</v>
      </c>
      <c r="B54" s="62"/>
      <c r="C54" s="63"/>
      <c r="D54" s="21" t="s">
        <v>69</v>
      </c>
      <c r="E54" s="30" t="s">
        <v>23</v>
      </c>
      <c r="F54" s="26">
        <v>0.033</v>
      </c>
      <c r="G54" s="23">
        <v>1563.9</v>
      </c>
      <c r="H54" s="22"/>
      <c r="I54" s="23">
        <f t="shared" si="8"/>
        <v>51.6</v>
      </c>
      <c r="J54" s="29"/>
      <c r="K54" s="23">
        <f t="shared" si="9"/>
        <v>35.3</v>
      </c>
      <c r="L54" s="40"/>
      <c r="M54" s="12"/>
      <c r="N54" s="16">
        <v>683321</v>
      </c>
      <c r="O54" s="17">
        <f t="shared" si="7"/>
        <v>22550</v>
      </c>
    </row>
    <row r="55" spans="1:15" ht="40.5" customHeight="1">
      <c r="A55" s="65" t="s">
        <v>111</v>
      </c>
      <c r="B55" s="66"/>
      <c r="C55" s="67"/>
      <c r="D55" s="21" t="s">
        <v>70</v>
      </c>
      <c r="E55" s="31" t="s">
        <v>21</v>
      </c>
      <c r="F55" s="26">
        <f>1481/683321</f>
        <v>0.002</v>
      </c>
      <c r="G55" s="23">
        <v>113563</v>
      </c>
      <c r="H55" s="22"/>
      <c r="I55" s="23">
        <v>227.1</v>
      </c>
      <c r="J55" s="29"/>
      <c r="K55" s="23">
        <v>155.2</v>
      </c>
      <c r="L55" s="40"/>
      <c r="M55" s="12"/>
      <c r="N55" s="16">
        <v>683321</v>
      </c>
      <c r="O55" s="17">
        <f t="shared" si="7"/>
        <v>1367</v>
      </c>
    </row>
    <row r="56" spans="1:15" ht="31.5">
      <c r="A56" s="61" t="s">
        <v>95</v>
      </c>
      <c r="B56" s="62"/>
      <c r="C56" s="63"/>
      <c r="D56" s="21" t="s">
        <v>71</v>
      </c>
      <c r="E56" s="31" t="s">
        <v>25</v>
      </c>
      <c r="F56" s="26">
        <v>0.56</v>
      </c>
      <c r="G56" s="23">
        <v>1327.8</v>
      </c>
      <c r="H56" s="22"/>
      <c r="I56" s="23">
        <v>743.6</v>
      </c>
      <c r="J56" s="29"/>
      <c r="K56" s="23">
        <f t="shared" si="9"/>
        <v>508.1</v>
      </c>
      <c r="L56" s="40"/>
      <c r="M56" s="12"/>
      <c r="N56" s="16">
        <v>683321</v>
      </c>
      <c r="O56" s="17">
        <f t="shared" si="7"/>
        <v>382660</v>
      </c>
    </row>
    <row r="57" spans="1:13" ht="29.25" customHeight="1">
      <c r="A57" s="68" t="s">
        <v>72</v>
      </c>
      <c r="B57" s="69"/>
      <c r="C57" s="70"/>
      <c r="D57" s="21" t="s">
        <v>73</v>
      </c>
      <c r="E57" s="21"/>
      <c r="F57" s="22"/>
      <c r="G57" s="22"/>
      <c r="H57" s="22"/>
      <c r="I57" s="23"/>
      <c r="J57" s="29"/>
      <c r="K57" s="23">
        <v>0</v>
      </c>
      <c r="L57" s="25">
        <f>ROUND(K57/K36,2)</f>
        <v>0</v>
      </c>
      <c r="M57" s="11"/>
    </row>
    <row r="58" spans="1:13" ht="20.25">
      <c r="A58" s="61" t="s">
        <v>97</v>
      </c>
      <c r="B58" s="62"/>
      <c r="C58" s="63"/>
      <c r="D58" s="21" t="s">
        <v>74</v>
      </c>
      <c r="E58" s="21" t="s">
        <v>14</v>
      </c>
      <c r="F58" s="23">
        <v>0</v>
      </c>
      <c r="G58" s="23">
        <v>0</v>
      </c>
      <c r="H58" s="22"/>
      <c r="I58" s="23">
        <v>0</v>
      </c>
      <c r="J58" s="29"/>
      <c r="K58" s="23">
        <v>0</v>
      </c>
      <c r="L58" s="40"/>
      <c r="M58" s="12"/>
    </row>
    <row r="59" spans="1:18" ht="66" customHeight="1">
      <c r="A59" s="71" t="s">
        <v>93</v>
      </c>
      <c r="B59" s="72"/>
      <c r="C59" s="73"/>
      <c r="D59" s="21" t="s">
        <v>75</v>
      </c>
      <c r="E59" s="30" t="s">
        <v>47</v>
      </c>
      <c r="F59" s="23">
        <v>0</v>
      </c>
      <c r="G59" s="23">
        <v>0</v>
      </c>
      <c r="H59" s="22"/>
      <c r="I59" s="23">
        <v>0</v>
      </c>
      <c r="J59" s="29"/>
      <c r="K59" s="23">
        <v>0</v>
      </c>
      <c r="L59" s="40"/>
      <c r="M59" s="12"/>
      <c r="N59">
        <f>0.46*414.2*685014/1000</f>
        <v>130517.087448</v>
      </c>
      <c r="O59">
        <v>15116.8</v>
      </c>
      <c r="P59">
        <f>N59-O59</f>
        <v>115400.287448</v>
      </c>
      <c r="Q59" s="14">
        <f>P59*1000/414.2</f>
        <v>278610</v>
      </c>
      <c r="R59">
        <f>Q59/685014</f>
        <v>0.406721614448756</v>
      </c>
    </row>
    <row r="60" spans="1:13" ht="69" customHeight="1">
      <c r="A60" s="74"/>
      <c r="B60" s="75"/>
      <c r="C60" s="76"/>
      <c r="D60" s="21" t="s">
        <v>76</v>
      </c>
      <c r="E60" s="30" t="s">
        <v>50</v>
      </c>
      <c r="F60" s="23">
        <v>0</v>
      </c>
      <c r="G60" s="23">
        <v>0</v>
      </c>
      <c r="H60" s="22"/>
      <c r="I60" s="23">
        <v>0</v>
      </c>
      <c r="J60" s="29"/>
      <c r="K60" s="23">
        <v>0</v>
      </c>
      <c r="L60" s="40"/>
      <c r="M60" s="12"/>
    </row>
    <row r="61" spans="1:13" ht="20.25">
      <c r="A61" s="77"/>
      <c r="B61" s="78"/>
      <c r="C61" s="59"/>
      <c r="D61" s="21" t="s">
        <v>77</v>
      </c>
      <c r="E61" s="30" t="s">
        <v>19</v>
      </c>
      <c r="F61" s="23">
        <v>0</v>
      </c>
      <c r="G61" s="23">
        <v>0</v>
      </c>
      <c r="H61" s="22"/>
      <c r="I61" s="23">
        <v>0</v>
      </c>
      <c r="J61" s="29"/>
      <c r="K61" s="23">
        <v>0</v>
      </c>
      <c r="L61" s="40"/>
      <c r="M61" s="12"/>
    </row>
    <row r="62" spans="1:13" ht="47.25">
      <c r="A62" s="96" t="s">
        <v>112</v>
      </c>
      <c r="B62" s="97"/>
      <c r="C62" s="98"/>
      <c r="D62" s="21" t="s">
        <v>78</v>
      </c>
      <c r="E62" s="30" t="s">
        <v>21</v>
      </c>
      <c r="F62" s="23">
        <v>0</v>
      </c>
      <c r="G62" s="23">
        <v>0</v>
      </c>
      <c r="H62" s="22"/>
      <c r="I62" s="23">
        <v>0</v>
      </c>
      <c r="J62" s="29"/>
      <c r="K62" s="23">
        <v>0</v>
      </c>
      <c r="L62" s="40"/>
      <c r="M62" s="12"/>
    </row>
    <row r="63" spans="1:13" ht="20.25">
      <c r="A63" s="99"/>
      <c r="B63" s="100"/>
      <c r="C63" s="101"/>
      <c r="D63" s="45" t="s">
        <v>79</v>
      </c>
      <c r="E63" s="30" t="s">
        <v>23</v>
      </c>
      <c r="F63" s="23">
        <v>0</v>
      </c>
      <c r="G63" s="23">
        <v>0</v>
      </c>
      <c r="H63" s="22"/>
      <c r="I63" s="23">
        <v>0</v>
      </c>
      <c r="J63" s="29"/>
      <c r="K63" s="23">
        <v>0</v>
      </c>
      <c r="L63" s="40"/>
      <c r="M63" s="12"/>
    </row>
    <row r="64" spans="1:13" ht="36" customHeight="1">
      <c r="A64" s="61" t="s">
        <v>113</v>
      </c>
      <c r="B64" s="62"/>
      <c r="C64" s="63"/>
      <c r="D64" s="21" t="s">
        <v>80</v>
      </c>
      <c r="E64" s="30" t="s">
        <v>23</v>
      </c>
      <c r="F64" s="23">
        <v>0</v>
      </c>
      <c r="G64" s="23">
        <v>0</v>
      </c>
      <c r="H64" s="22"/>
      <c r="I64" s="23">
        <v>0</v>
      </c>
      <c r="J64" s="29"/>
      <c r="K64" s="23">
        <v>0</v>
      </c>
      <c r="L64" s="40"/>
      <c r="M64" s="12"/>
    </row>
    <row r="65" spans="1:13" ht="35.25" customHeight="1">
      <c r="A65" s="65" t="s">
        <v>111</v>
      </c>
      <c r="B65" s="66"/>
      <c r="C65" s="67"/>
      <c r="D65" s="21" t="s">
        <v>81</v>
      </c>
      <c r="E65" s="31" t="s">
        <v>21</v>
      </c>
      <c r="F65" s="23">
        <v>0</v>
      </c>
      <c r="G65" s="23">
        <v>0</v>
      </c>
      <c r="H65" s="22"/>
      <c r="I65" s="23">
        <v>0</v>
      </c>
      <c r="J65" s="29"/>
      <c r="K65" s="23">
        <v>0</v>
      </c>
      <c r="L65" s="40"/>
      <c r="M65" s="12"/>
    </row>
    <row r="66" spans="1:13" ht="33.75" customHeight="1">
      <c r="A66" s="61" t="s">
        <v>95</v>
      </c>
      <c r="B66" s="62"/>
      <c r="C66" s="63"/>
      <c r="D66" s="21" t="s">
        <v>82</v>
      </c>
      <c r="E66" s="31" t="s">
        <v>25</v>
      </c>
      <c r="F66" s="23">
        <v>0</v>
      </c>
      <c r="G66" s="23">
        <v>0</v>
      </c>
      <c r="H66" s="22"/>
      <c r="I66" s="23">
        <v>0</v>
      </c>
      <c r="J66" s="29"/>
      <c r="K66" s="23">
        <v>0</v>
      </c>
      <c r="L66" s="40"/>
      <c r="M66" s="12"/>
    </row>
    <row r="67" spans="1:13" ht="20.25">
      <c r="A67" s="61" t="s">
        <v>83</v>
      </c>
      <c r="B67" s="62"/>
      <c r="C67" s="63"/>
      <c r="D67" s="21" t="s">
        <v>84</v>
      </c>
      <c r="E67" s="21"/>
      <c r="F67" s="22"/>
      <c r="G67" s="22"/>
      <c r="H67" s="34">
        <f>H15+H31</f>
        <v>2194.8</v>
      </c>
      <c r="I67" s="32">
        <f>I36</f>
        <v>8392.8</v>
      </c>
      <c r="J67" s="56">
        <f>J15+J31</f>
        <v>1550.609</v>
      </c>
      <c r="K67" s="32">
        <f>K36</f>
        <v>5735</v>
      </c>
      <c r="L67" s="33">
        <v>100</v>
      </c>
      <c r="M67" s="13"/>
    </row>
    <row r="68" spans="1:13" ht="24.75" customHeight="1">
      <c r="A68" s="64" t="s">
        <v>115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15"/>
    </row>
    <row r="69" spans="1:13" ht="15.75">
      <c r="A69" s="108" t="s">
        <v>85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6"/>
    </row>
    <row r="70" spans="1:13" ht="15.75">
      <c r="A70" s="104" t="s">
        <v>123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7"/>
    </row>
    <row r="71" spans="1:13" ht="15">
      <c r="A71" s="92" t="s">
        <v>86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5"/>
    </row>
    <row r="72" ht="15">
      <c r="I72" s="3"/>
    </row>
    <row r="73" spans="2:3" ht="15">
      <c r="B73" t="s">
        <v>116</v>
      </c>
      <c r="C73">
        <v>1.016</v>
      </c>
    </row>
  </sheetData>
  <sheetProtection/>
  <mergeCells count="70">
    <mergeCell ref="S17:T17"/>
    <mergeCell ref="A1:L1"/>
    <mergeCell ref="A2:L2"/>
    <mergeCell ref="A3:L3"/>
    <mergeCell ref="A4:L4"/>
    <mergeCell ref="A5:L5"/>
    <mergeCell ref="A6:L6"/>
    <mergeCell ref="D9:J9"/>
    <mergeCell ref="J7:L7"/>
    <mergeCell ref="A28:C28"/>
    <mergeCell ref="A32:C32"/>
    <mergeCell ref="A55:C55"/>
    <mergeCell ref="B38:B40"/>
    <mergeCell ref="A35:C35"/>
    <mergeCell ref="A30:C30"/>
    <mergeCell ref="A29:C29"/>
    <mergeCell ref="A31:C31"/>
    <mergeCell ref="A33:C33"/>
    <mergeCell ref="A34:C34"/>
    <mergeCell ref="A70:L70"/>
    <mergeCell ref="A15:C15"/>
    <mergeCell ref="A16:C16"/>
    <mergeCell ref="A17:C17"/>
    <mergeCell ref="A18:C19"/>
    <mergeCell ref="A20:C21"/>
    <mergeCell ref="A23:C23"/>
    <mergeCell ref="A22:C22"/>
    <mergeCell ref="A69:L69"/>
    <mergeCell ref="A27:C27"/>
    <mergeCell ref="A25:C25"/>
    <mergeCell ref="A26:C26"/>
    <mergeCell ref="A71:L71"/>
    <mergeCell ref="H11:I11"/>
    <mergeCell ref="H12:I12"/>
    <mergeCell ref="J11:L11"/>
    <mergeCell ref="J12:K12"/>
    <mergeCell ref="A52:C53"/>
    <mergeCell ref="A62:C63"/>
    <mergeCell ref="L12:L13"/>
    <mergeCell ref="A24:C24"/>
    <mergeCell ref="A8:L8"/>
    <mergeCell ref="D11:D13"/>
    <mergeCell ref="F11:F13"/>
    <mergeCell ref="E11:E13"/>
    <mergeCell ref="G11:G13"/>
    <mergeCell ref="A11:C13"/>
    <mergeCell ref="A14:C14"/>
    <mergeCell ref="A38:A40"/>
    <mergeCell ref="A41:A42"/>
    <mergeCell ref="B41:C41"/>
    <mergeCell ref="B42:C42"/>
    <mergeCell ref="A36:C36"/>
    <mergeCell ref="A37:C37"/>
    <mergeCell ref="A43:C43"/>
    <mergeCell ref="A59:C61"/>
    <mergeCell ref="A44:C44"/>
    <mergeCell ref="A45:C45"/>
    <mergeCell ref="A46:C46"/>
    <mergeCell ref="A47:C47"/>
    <mergeCell ref="A48:C48"/>
    <mergeCell ref="A49:C51"/>
    <mergeCell ref="A54:C54"/>
    <mergeCell ref="A68:L68"/>
    <mergeCell ref="A65:C65"/>
    <mergeCell ref="A66:C66"/>
    <mergeCell ref="A56:C56"/>
    <mergeCell ref="A57:C57"/>
    <mergeCell ref="A58:C58"/>
    <mergeCell ref="A64:C64"/>
    <mergeCell ref="A67:C67"/>
  </mergeCells>
  <printOptions horizontalCentered="1"/>
  <pageMargins left="0.11811023622047245" right="0.5118110236220472" top="0" bottom="0.35433070866141736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Admin</cp:lastModifiedBy>
  <cp:lastPrinted>2014-12-23T05:49:05Z</cp:lastPrinted>
  <dcterms:created xsi:type="dcterms:W3CDTF">2013-12-24T07:04:36Z</dcterms:created>
  <dcterms:modified xsi:type="dcterms:W3CDTF">2014-12-23T12:25:42Z</dcterms:modified>
  <cp:category/>
  <cp:version/>
  <cp:contentType/>
  <cp:contentStatus/>
</cp:coreProperties>
</file>